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romiza1\Documents\Cutler Center\Cutler Center\Student Workers\Cutler Center Student Assistants\Spring 2021\"/>
    </mc:Choice>
  </mc:AlternateContent>
  <bookViews>
    <workbookView xWindow="0" yWindow="0" windowWidth="25600" windowHeight="10360" tabRatio="685"/>
  </bookViews>
  <sheets>
    <sheet name="DCF Model" sheetId="25" r:id="rId1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PV_shr">'DCF Model'!$N$12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5" l="1"/>
  <c r="E22" i="25"/>
  <c r="E34" i="25"/>
  <c r="E26" i="25"/>
  <c r="E30" i="25" s="1"/>
  <c r="E27" i="25" l="1"/>
  <c r="E28" i="25"/>
  <c r="E29" i="25"/>
  <c r="E33" i="25"/>
  <c r="E31" i="25" l="1"/>
  <c r="I20" i="25"/>
  <c r="I34" i="25" s="1"/>
  <c r="F34" i="25"/>
  <c r="G34" i="25"/>
  <c r="H34" i="25"/>
  <c r="F26" i="25" l="1"/>
  <c r="G26" i="25" l="1"/>
  <c r="H26" i="25" s="1"/>
  <c r="F30" i="25"/>
  <c r="F28" i="25"/>
  <c r="F27" i="25"/>
  <c r="I26" i="25" l="1"/>
  <c r="D44" i="25" l="1"/>
  <c r="H43" i="25"/>
  <c r="H42" i="25"/>
  <c r="H44" i="25" l="1"/>
  <c r="D43" i="25"/>
  <c r="H45" i="25"/>
  <c r="H47" i="25" s="1"/>
  <c r="M46" i="25" s="1"/>
  <c r="H29" i="25"/>
  <c r="I29" i="25"/>
  <c r="F29" i="25"/>
  <c r="F31" i="25" s="1"/>
  <c r="G29" i="25"/>
  <c r="E32" i="25" l="1"/>
  <c r="G27" i="25"/>
  <c r="H27" i="25"/>
  <c r="I27" i="25"/>
  <c r="I28" i="25"/>
  <c r="G28" i="25"/>
  <c r="H28" i="25"/>
  <c r="H30" i="25"/>
  <c r="I30" i="25"/>
  <c r="G30" i="25"/>
  <c r="E36" i="25" l="1"/>
  <c r="E38" i="25" s="1"/>
  <c r="H33" i="25"/>
  <c r="H31" i="25"/>
  <c r="H32" i="25" s="1"/>
  <c r="G31" i="25"/>
  <c r="G32" i="25" s="1"/>
  <c r="G33" i="25"/>
  <c r="F33" i="25"/>
  <c r="F32" i="25"/>
  <c r="I31" i="25"/>
  <c r="I32" i="25" s="1"/>
  <c r="I33" i="25"/>
  <c r="F36" i="25" l="1"/>
  <c r="F38" i="25" s="1"/>
  <c r="E14" i="25"/>
  <c r="I36" i="25"/>
  <c r="J36" i="25" l="1"/>
  <c r="I37" i="25" s="1"/>
  <c r="I38" i="25" s="1"/>
  <c r="M23" i="25"/>
  <c r="F24" i="25"/>
  <c r="F23" i="25" l="1"/>
  <c r="G24" i="25"/>
  <c r="H36" i="25"/>
  <c r="H38" i="25" s="1"/>
  <c r="F22" i="25" l="1"/>
  <c r="F14" i="25"/>
  <c r="H24" i="25"/>
  <c r="G23" i="25"/>
  <c r="G14" i="25" l="1"/>
  <c r="I24" i="25"/>
  <c r="I23" i="25" s="1"/>
  <c r="H23" i="25"/>
  <c r="G22" i="25"/>
  <c r="D38" i="25"/>
  <c r="H14" i="25" l="1"/>
  <c r="I22" i="25"/>
  <c r="I14" i="25"/>
  <c r="H22" i="25"/>
  <c r="G36" i="25" l="1"/>
  <c r="G38" i="25" l="1"/>
  <c r="D42" i="25" s="1"/>
  <c r="D45" i="25" s="1"/>
  <c r="D47" i="25" s="1"/>
  <c r="M47" i="25" l="1"/>
  <c r="M48" i="25" s="1"/>
  <c r="M42" i="25"/>
</calcChain>
</file>

<file path=xl/comments1.xml><?xml version="1.0" encoding="utf-8"?>
<comments xmlns="http://schemas.openxmlformats.org/spreadsheetml/2006/main">
  <authors>
    <author>Windows User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after searching the security, search "WACC" and use the WACC in white font in the bottom right corner of the first table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search the security and type in "des" to pull up the secirity description page. The current price is at the top next to the ticker.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On description screen, find "Shrs Out/Float." Put the vaue in in $s, not in millions.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Type in FA to pull up the financial analysis screen. On the key stats tab, enter total debt from 2020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Type in FA to pull up the financial analysis screen. On the key stats tab, enter cash and equivilants from 2020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>On FA key stats page, enter YoY revenue growth % for each year. Scroll over to see future years by clicking the &gt;&gt; buttom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Type in FA to pull up the financial analysis screen. On the keystats tab, enter revenue from 2020</t>
        </r>
      </text>
    </comment>
  </commentList>
</comments>
</file>

<file path=xl/sharedStrings.xml><?xml version="1.0" encoding="utf-8"?>
<sst xmlns="http://schemas.openxmlformats.org/spreadsheetml/2006/main" count="54" uniqueCount="52">
  <si>
    <t>Debt</t>
  </si>
  <si>
    <t>Assumptions</t>
  </si>
  <si>
    <t>DCF Model</t>
  </si>
  <si>
    <t>EBIT</t>
  </si>
  <si>
    <t>Less: Cash Taxes</t>
  </si>
  <si>
    <t>Less: Capex</t>
  </si>
  <si>
    <t>Less: Changes in NWC</t>
  </si>
  <si>
    <t>Plus: D&amp;A</t>
  </si>
  <si>
    <t>Terminal Value</t>
  </si>
  <si>
    <t>Tax Rate</t>
  </si>
  <si>
    <t>Discount Rate</t>
  </si>
  <si>
    <t>Perpetural Growth Rate</t>
  </si>
  <si>
    <t>Unlevered FCF</t>
  </si>
  <si>
    <t>Transaction Date</t>
  </si>
  <si>
    <t>Discounted Cash Flow</t>
  </si>
  <si>
    <t>Shares Outstanding</t>
  </si>
  <si>
    <t>Date</t>
  </si>
  <si>
    <t>Current Price</t>
  </si>
  <si>
    <t>Market Cap</t>
  </si>
  <si>
    <t>Plus: Debt</t>
  </si>
  <si>
    <t>Enterprise Value</t>
  </si>
  <si>
    <t>Less: Debt</t>
  </si>
  <si>
    <t>Equity Value</t>
  </si>
  <si>
    <t>Intrinsic Value</t>
  </si>
  <si>
    <t>Market Value</t>
  </si>
  <si>
    <t>Rate of Return</t>
  </si>
  <si>
    <t>Capex</t>
  </si>
  <si>
    <t>© Corporate Finance Institute®. All rights reserved.</t>
  </si>
  <si>
    <t>Transaction CF</t>
  </si>
  <si>
    <t>Time Periods</t>
  </si>
  <si>
    <t>Market Value vs Intrinsic Value</t>
  </si>
  <si>
    <t>Upside</t>
  </si>
  <si>
    <t>"Excess" Cash</t>
  </si>
  <si>
    <t>Current share price</t>
  </si>
  <si>
    <t>Estimated share price</t>
  </si>
  <si>
    <t>Plus: Excess Cash</t>
  </si>
  <si>
    <t>Current Market Value</t>
  </si>
  <si>
    <t>Less: Excess Cash</t>
  </si>
  <si>
    <t>First Fiscal Year End</t>
  </si>
  <si>
    <t>Sales</t>
  </si>
  <si>
    <t>Less: COGS</t>
  </si>
  <si>
    <t>Less: SG&amp;A</t>
  </si>
  <si>
    <t>Less: R&amp;D</t>
  </si>
  <si>
    <t>Less: D&amp;A</t>
  </si>
  <si>
    <t>Target Price Upside/Downside</t>
  </si>
  <si>
    <t>Growing Perpetuity</t>
  </si>
  <si>
    <t>Cost of Services (COGS)</t>
  </si>
  <si>
    <t>SG&amp;A expense</t>
  </si>
  <si>
    <t>R&amp;D expense</t>
  </si>
  <si>
    <t>D&amp;A expense</t>
  </si>
  <si>
    <t>Sales Growth</t>
  </si>
  <si>
    <t>Delta Air Lines Inc (DAL)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</si>
</sst>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(#,##0\)_-;_-* &quot;-&quot;_-;_-@_-"/>
    <numFmt numFmtId="166" formatCode="_-* #,##0_-;\-* #,##0_-;_-* &quot;-&quot;??_-;_-@_-"/>
    <numFmt numFmtId="167" formatCode="_(* #,##0_);_(* \(#,##0\);_(* &quot;-&quot;??_);_(@_)"/>
    <numFmt numFmtId="168" formatCode="_-* #,##0.00_-;\(#,##0.00\)_-;_-* &quot;-&quot;_-;_-@_-"/>
    <numFmt numFmtId="169" formatCode="0.0%"/>
    <numFmt numFmtId="170" formatCode="&quot;$&quot;#,##0.00\ \ \ ;\(&quot;$&quot;#,##0.00\)\ \ "/>
    <numFmt numFmtId="171" formatCode="&quot;$&quot;#,##0"/>
    <numFmt numFmtId="172" formatCode="0_);[Red]\(0\)"/>
    <numFmt numFmtId="173" formatCode="0_);\(0\)"/>
    <numFmt numFmtId="174" formatCode="#,##0.000_);\(#,##0.0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0000FF"/>
      <name val="Open Sans"/>
      <family val="2"/>
    </font>
    <font>
      <sz val="10"/>
      <name val="Open Sans"/>
      <family val="2"/>
    </font>
    <font>
      <i/>
      <sz val="10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Open Sans"/>
    </font>
    <font>
      <sz val="9"/>
      <name val="GS TheSans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00FF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003268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5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2" borderId="0" xfId="1" applyNumberFormat="1" applyFont="1" applyFill="1"/>
    <xf numFmtId="165" fontId="4" fillId="2" borderId="0" xfId="1" applyNumberFormat="1" applyFont="1" applyFill="1"/>
    <xf numFmtId="165" fontId="4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165" fontId="7" fillId="0" borderId="0" xfId="1" applyNumberFormat="1" applyFont="1"/>
    <xf numFmtId="165" fontId="8" fillId="0" borderId="0" xfId="1" applyNumberFormat="1" applyFont="1"/>
    <xf numFmtId="165" fontId="7" fillId="0" borderId="0" xfId="1" applyNumberFormat="1" applyFont="1" applyAlignment="1">
      <alignment horizontal="center"/>
    </xf>
    <xf numFmtId="165" fontId="9" fillId="0" borderId="0" xfId="1" applyNumberFormat="1" applyFont="1"/>
    <xf numFmtId="165" fontId="10" fillId="0" borderId="0" xfId="1" applyNumberFormat="1" applyFont="1"/>
    <xf numFmtId="165" fontId="7" fillId="0" borderId="0" xfId="1" applyNumberFormat="1" applyFont="1" applyBorder="1"/>
    <xf numFmtId="165" fontId="10" fillId="0" borderId="0" xfId="1" applyNumberFormat="1" applyFont="1" applyBorder="1"/>
    <xf numFmtId="165" fontId="11" fillId="0" borderId="0" xfId="1" applyNumberFormat="1" applyFont="1" applyBorder="1"/>
    <xf numFmtId="165" fontId="14" fillId="0" borderId="0" xfId="1" applyNumberFormat="1" applyFont="1"/>
    <xf numFmtId="0" fontId="17" fillId="0" borderId="0" xfId="7" applyFont="1" applyFill="1" applyBorder="1"/>
    <xf numFmtId="170" fontId="18" fillId="0" borderId="0" xfId="7" applyNumberFormat="1" applyFont="1" applyFill="1" applyBorder="1"/>
    <xf numFmtId="169" fontId="17" fillId="0" borderId="0" xfId="2" applyNumberFormat="1" applyFont="1" applyFill="1" applyBorder="1"/>
    <xf numFmtId="4" fontId="17" fillId="0" borderId="0" xfId="2" applyNumberFormat="1" applyFont="1" applyFill="1" applyBorder="1"/>
    <xf numFmtId="10" fontId="20" fillId="0" borderId="0" xfId="0" applyNumberFormat="1" applyFont="1" applyFill="1"/>
    <xf numFmtId="165" fontId="20" fillId="0" borderId="0" xfId="1" applyNumberFormat="1" applyFont="1"/>
    <xf numFmtId="14" fontId="21" fillId="0" borderId="0" xfId="1" applyNumberFormat="1" applyFont="1"/>
    <xf numFmtId="14" fontId="21" fillId="0" borderId="0" xfId="1" applyNumberFormat="1" applyFont="1" applyFill="1"/>
    <xf numFmtId="165" fontId="21" fillId="0" borderId="0" xfId="1" applyNumberFormat="1" applyFont="1" applyBorder="1"/>
    <xf numFmtId="169" fontId="21" fillId="0" borderId="0" xfId="2" applyNumberFormat="1" applyFont="1" applyBorder="1" applyAlignment="1">
      <alignment horizontal="right"/>
    </xf>
    <xf numFmtId="169" fontId="20" fillId="0" borderId="0" xfId="1" applyNumberFormat="1" applyFont="1"/>
    <xf numFmtId="165" fontId="21" fillId="0" borderId="0" xfId="1" applyNumberFormat="1" applyFont="1"/>
    <xf numFmtId="165" fontId="20" fillId="0" borderId="0" xfId="1" applyNumberFormat="1" applyFont="1" applyBorder="1"/>
    <xf numFmtId="14" fontId="23" fillId="0" borderId="0" xfId="1" applyNumberFormat="1" applyFont="1" applyBorder="1"/>
    <xf numFmtId="14" fontId="23" fillId="0" borderId="0" xfId="1" applyNumberFormat="1" applyFont="1" applyFill="1" applyBorder="1"/>
    <xf numFmtId="165" fontId="23" fillId="0" borderId="0" xfId="1" applyNumberFormat="1" applyFont="1" applyBorder="1"/>
    <xf numFmtId="167" fontId="20" fillId="0" borderId="0" xfId="1" applyNumberFormat="1" applyFont="1"/>
    <xf numFmtId="164" fontId="23" fillId="0" borderId="0" xfId="1" applyFont="1" applyBorder="1"/>
    <xf numFmtId="164" fontId="20" fillId="0" borderId="0" xfId="1" applyFont="1" applyBorder="1"/>
    <xf numFmtId="165" fontId="17" fillId="0" borderId="0" xfId="1" applyNumberFormat="1" applyFont="1"/>
    <xf numFmtId="165" fontId="20" fillId="0" borderId="1" xfId="1" applyNumberFormat="1" applyFont="1" applyBorder="1"/>
    <xf numFmtId="165" fontId="20" fillId="0" borderId="0" xfId="1" applyNumberFormat="1" applyFont="1" applyFill="1"/>
    <xf numFmtId="165" fontId="20" fillId="0" borderId="0" xfId="1" applyNumberFormat="1" applyFont="1" applyAlignment="1">
      <alignment horizontal="center"/>
    </xf>
    <xf numFmtId="9" fontId="20" fillId="0" borderId="0" xfId="2" applyFont="1" applyBorder="1"/>
    <xf numFmtId="9" fontId="20" fillId="0" borderId="0" xfId="2" applyFont="1"/>
    <xf numFmtId="168" fontId="20" fillId="0" borderId="0" xfId="1" applyNumberFormat="1" applyFont="1"/>
    <xf numFmtId="168" fontId="22" fillId="0" borderId="0" xfId="1" applyNumberFormat="1" applyFont="1"/>
    <xf numFmtId="165" fontId="22" fillId="0" borderId="0" xfId="1" applyNumberFormat="1" applyFont="1"/>
    <xf numFmtId="171" fontId="21" fillId="0" borderId="0" xfId="1" applyNumberFormat="1" applyFont="1"/>
    <xf numFmtId="1" fontId="24" fillId="0" borderId="0" xfId="1" applyNumberFormat="1" applyFont="1"/>
    <xf numFmtId="165" fontId="17" fillId="0" borderId="0" xfId="1" applyNumberFormat="1" applyFont="1" applyBorder="1"/>
    <xf numFmtId="167" fontId="17" fillId="0" borderId="0" xfId="1" applyNumberFormat="1" applyFont="1"/>
    <xf numFmtId="174" fontId="20" fillId="0" borderId="0" xfId="1" applyNumberFormat="1" applyFont="1"/>
    <xf numFmtId="0" fontId="25" fillId="3" borderId="0" xfId="1" applyNumberFormat="1" applyFont="1" applyFill="1" applyBorder="1"/>
    <xf numFmtId="165" fontId="5" fillId="3" borderId="0" xfId="1" applyNumberFormat="1" applyFont="1" applyFill="1" applyBorder="1"/>
    <xf numFmtId="165" fontId="26" fillId="3" borderId="0" xfId="1" applyNumberFormat="1" applyFont="1" applyFill="1" applyBorder="1"/>
    <xf numFmtId="165" fontId="25" fillId="3" borderId="0" xfId="1" applyNumberFormat="1" applyFont="1" applyFill="1" applyBorder="1"/>
    <xf numFmtId="43" fontId="20" fillId="0" borderId="0" xfId="1" applyNumberFormat="1" applyFont="1" applyBorder="1"/>
    <xf numFmtId="165" fontId="21" fillId="0" borderId="0" xfId="1" applyNumberFormat="1" applyFont="1" applyFill="1"/>
    <xf numFmtId="165" fontId="25" fillId="0" borderId="0" xfId="1" applyNumberFormat="1" applyFont="1" applyFill="1" applyAlignment="1">
      <alignment horizontal="centerContinuous"/>
    </xf>
    <xf numFmtId="165" fontId="26" fillId="0" borderId="0" xfId="1" applyNumberFormat="1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165" fontId="26" fillId="0" borderId="0" xfId="1" applyNumberFormat="1" applyFont="1" applyFill="1"/>
    <xf numFmtId="173" fontId="26" fillId="0" borderId="0" xfId="1" applyNumberFormat="1" applyFont="1" applyFill="1"/>
    <xf numFmtId="173" fontId="26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0" fontId="26" fillId="0" borderId="0" xfId="0" applyFont="1" applyFill="1"/>
    <xf numFmtId="172" fontId="26" fillId="0" borderId="0" xfId="0" applyNumberFormat="1" applyFont="1" applyFill="1" applyBorder="1" applyAlignment="1">
      <alignment horizontal="right" wrapText="1"/>
    </xf>
    <xf numFmtId="165" fontId="20" fillId="0" borderId="0" xfId="1" applyNumberFormat="1" applyFont="1" applyFill="1" applyAlignment="1">
      <alignment horizontal="center"/>
    </xf>
    <xf numFmtId="165" fontId="25" fillId="0" borderId="0" xfId="1" applyNumberFormat="1" applyFont="1" applyFill="1" applyBorder="1"/>
    <xf numFmtId="165" fontId="26" fillId="0" borderId="0" xfId="1" applyNumberFormat="1" applyFont="1" applyFill="1" applyBorder="1"/>
    <xf numFmtId="169" fontId="20" fillId="0" borderId="0" xfId="1" applyNumberFormat="1" applyFont="1" applyFill="1" applyBorder="1"/>
    <xf numFmtId="4" fontId="20" fillId="0" borderId="0" xfId="1" applyNumberFormat="1" applyFont="1" applyFill="1" applyBorder="1"/>
    <xf numFmtId="4" fontId="17" fillId="0" borderId="0" xfId="8" applyNumberFormat="1" applyFont="1" applyFill="1" applyBorder="1"/>
    <xf numFmtId="165" fontId="20" fillId="0" borderId="0" xfId="1" applyNumberFormat="1" applyFont="1" applyFill="1" applyBorder="1"/>
    <xf numFmtId="43" fontId="20" fillId="0" borderId="2" xfId="1" applyNumberFormat="1" applyFont="1" applyBorder="1"/>
    <xf numFmtId="169" fontId="17" fillId="0" borderId="0" xfId="2" applyNumberFormat="1" applyFont="1" applyFill="1" applyAlignment="1">
      <alignment horizontal="right"/>
    </xf>
    <xf numFmtId="169" fontId="17" fillId="4" borderId="3" xfId="2" applyNumberFormat="1" applyFont="1" applyFill="1" applyBorder="1" applyAlignment="1">
      <alignment horizontal="right"/>
    </xf>
    <xf numFmtId="164" fontId="21" fillId="4" borderId="3" xfId="1" applyFont="1" applyFill="1" applyBorder="1" applyAlignment="1">
      <alignment horizontal="right"/>
    </xf>
    <xf numFmtId="166" fontId="21" fillId="4" borderId="3" xfId="1" applyNumberFormat="1" applyFont="1" applyFill="1" applyBorder="1" applyAlignment="1">
      <alignment horizontal="right"/>
    </xf>
    <xf numFmtId="166" fontId="21" fillId="4" borderId="4" xfId="1" applyNumberFormat="1" applyFont="1" applyFill="1" applyBorder="1" applyAlignment="1">
      <alignment horizontal="right"/>
    </xf>
    <xf numFmtId="165" fontId="20" fillId="4" borderId="3" xfId="1" applyNumberFormat="1" applyFont="1" applyFill="1" applyBorder="1"/>
    <xf numFmtId="169" fontId="20" fillId="4" borderId="3" xfId="1" applyNumberFormat="1" applyFont="1" applyFill="1" applyBorder="1"/>
    <xf numFmtId="165" fontId="5" fillId="3" borderId="0" xfId="1" applyNumberFormat="1" applyFont="1" applyFill="1" applyBorder="1" applyAlignment="1">
      <alignment horizontal="center"/>
    </xf>
    <xf numFmtId="0" fontId="16" fillId="0" borderId="0" xfId="7" applyFont="1" applyFill="1" applyBorder="1" applyAlignment="1">
      <alignment horizontal="center"/>
    </xf>
    <xf numFmtId="165" fontId="22" fillId="0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urrency" xfId="8" builtinId="4"/>
    <cellStyle name="Hyperlink 2" xfId="5"/>
    <cellStyle name="Hyperlink 3" xfId="3"/>
    <cellStyle name="Normal" xfId="0" builtinId="0"/>
    <cellStyle name="Normal 2" xfId="4"/>
    <cellStyle name="Normal 2 2 2" xfId="6"/>
    <cellStyle name="Normal_ACN_DCF Analysis" xfId="7"/>
    <cellStyle name="Percent" xfId="2" builtinId="5"/>
  </cellStyles>
  <dxfs count="0"/>
  <tableStyles count="0" defaultTableStyle="TableStyleMedium2" defaultPivotStyle="PivotStyleLight16"/>
  <colors>
    <mruColors>
      <color rgb="FF9B1631"/>
      <color rgb="FF003268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 b="0"/>
              <a:t>Free Cash Flow Forecast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B1631"/>
            </a:solidFill>
            <a:ln>
              <a:noFill/>
            </a:ln>
            <a:effectLst/>
          </c:spPr>
          <c:invertIfNegative val="0"/>
          <c:cat>
            <c:numRef>
              <c:f>'DCF Model'!$E$23:$I$23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46022</c:v>
                </c:pt>
              </c:numCache>
            </c:numRef>
          </c:cat>
          <c:val>
            <c:numRef>
              <c:f>'DCF Model'!$E$36:$I$36</c:f>
              <c:numCache>
                <c:formatCode>_-* #,##0_-;\(#,##0\)_-;_-* "-"_-;_-@_-</c:formatCode>
                <c:ptCount val="5"/>
                <c:pt idx="0">
                  <c:v>-3542</c:v>
                </c:pt>
                <c:pt idx="1">
                  <c:v>-3855</c:v>
                </c:pt>
                <c:pt idx="2">
                  <c:v>-3873</c:v>
                </c:pt>
                <c:pt idx="3">
                  <c:v>-3871</c:v>
                </c:pt>
                <c:pt idx="4">
                  <c:v>-3871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A-4754-B867-94CF948C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42849320"/>
        <c:axId val="542849648"/>
      </c:barChart>
      <c:dateAx>
        <c:axId val="54284932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28496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542849648"/>
        <c:scaling>
          <c:orientation val="minMax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284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434340</xdr:colOff>
      <xdr:row>3</xdr:row>
      <xdr:rowOff>5715</xdr:rowOff>
    </xdr:from>
    <xdr:to>
      <xdr:col>14</xdr:col>
      <xdr:colOff>306705</xdr:colOff>
      <xdr:row>14</xdr:row>
      <xdr:rowOff>28203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31E59A-1A30-40A8-B4F9-0770A24C3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796635</xdr:colOff>
      <xdr:row>24</xdr:row>
      <xdr:rowOff>95251</xdr:rowOff>
    </xdr:from>
    <xdr:to>
      <xdr:col>13</xdr:col>
      <xdr:colOff>34635</xdr:colOff>
      <xdr:row>31</xdr:row>
      <xdr:rowOff>155864</xdr:rowOff>
    </xdr:to>
    <xdr:sp macro="" textlink="">
      <xdr:nvSpPr>
        <xdr:cNvPr id="2" name="TextBox 1"/>
        <xdr:cNvSpPr txBox="1"/>
      </xdr:nvSpPr>
      <xdr:spPr>
        <a:xfrm>
          <a:off x="8555180" y="4121728"/>
          <a:ext cx="2511137" cy="125556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</a:t>
          </a:r>
        </a:p>
        <a:p>
          <a:r>
            <a:rPr lang="en-US" sz="1100"/>
            <a:t>After listening to the session,</a:t>
          </a:r>
          <a:r>
            <a:rPr lang="en-US" sz="1100" baseline="0"/>
            <a:t> enter the inputs in the light blue highlighted boxes using Bloomberg. If you are struggling to find them in Bloomberg, call over a presenter or see the comments.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showGridLines="0" tabSelected="1" zoomScale="110" zoomScaleNormal="110" workbookViewId="0">
      <selection activeCell="J12" sqref="J12"/>
    </sheetView>
  </sheetViews>
  <sheetFormatPr defaultColWidth="9.1796875" defaultRowHeight="15.5"/>
  <cols>
    <col min="1" max="1" width="3.54296875" style="1" customWidth="1"/>
    <col min="2" max="2" width="14.453125" style="1" customWidth="1"/>
    <col min="3" max="3" width="12.453125" style="1" customWidth="1"/>
    <col min="4" max="4" width="13.1796875" style="2" bestFit="1" customWidth="1"/>
    <col min="5" max="9" width="14.54296875" style="1" customWidth="1"/>
    <col min="10" max="10" width="12.54296875" style="1" customWidth="1"/>
    <col min="11" max="11" width="16.453125" style="1" customWidth="1"/>
    <col min="12" max="12" width="9.453125" style="1" customWidth="1"/>
    <col min="13" max="13" width="10.54296875" style="1" customWidth="1"/>
    <col min="14" max="16384" width="9.1796875" style="1"/>
  </cols>
  <sheetData>
    <row r="1" spans="1:14">
      <c r="A1" s="1" t="s">
        <v>51</v>
      </c>
    </row>
    <row r="2" spans="1:14">
      <c r="A2" s="3" t="s">
        <v>27</v>
      </c>
      <c r="B2" s="4"/>
      <c r="C2" s="4"/>
      <c r="D2" s="5"/>
      <c r="E2" s="5"/>
      <c r="F2" s="5"/>
      <c r="G2" s="3"/>
      <c r="H2" s="4"/>
      <c r="I2" s="4"/>
      <c r="J2" s="5"/>
      <c r="K2" s="5"/>
      <c r="L2" s="5"/>
      <c r="M2" s="5"/>
    </row>
    <row r="3" spans="1:14">
      <c r="A3" s="4"/>
      <c r="B3" s="6" t="s">
        <v>2</v>
      </c>
      <c r="C3" s="7"/>
      <c r="D3" s="7"/>
      <c r="E3" s="5"/>
      <c r="F3" s="5"/>
      <c r="G3" s="4"/>
      <c r="H3" s="6"/>
      <c r="I3" s="7"/>
      <c r="J3" s="7"/>
      <c r="K3" s="7"/>
      <c r="L3" s="5"/>
      <c r="M3" s="5"/>
    </row>
    <row r="4" spans="1:14">
      <c r="A4" s="8"/>
      <c r="B4" s="9"/>
      <c r="C4" s="8"/>
      <c r="D4" s="10"/>
      <c r="E4" s="11"/>
      <c r="F4" s="11"/>
      <c r="G4" s="11"/>
      <c r="H4" s="11"/>
      <c r="I4" s="8"/>
      <c r="J4" s="8"/>
      <c r="K4" s="8"/>
      <c r="L4" s="8"/>
      <c r="M4" s="8"/>
      <c r="N4" s="8"/>
    </row>
    <row r="5" spans="1:14" ht="16" thickBot="1">
      <c r="A5" s="8"/>
      <c r="B5" s="81" t="s">
        <v>1</v>
      </c>
      <c r="C5" s="81"/>
      <c r="D5" s="81"/>
      <c r="E5" s="81"/>
      <c r="F5" s="81"/>
      <c r="G5" s="81"/>
      <c r="H5" s="81"/>
      <c r="I5" s="81"/>
      <c r="J5" s="8"/>
      <c r="K5" s="8"/>
      <c r="M5" s="8"/>
      <c r="N5" s="8"/>
    </row>
    <row r="6" spans="1:14" s="22" customFormat="1" ht="13" thickBot="1">
      <c r="A6" s="8"/>
      <c r="B6" s="12" t="s">
        <v>10</v>
      </c>
      <c r="D6" s="75"/>
    </row>
    <row r="7" spans="1:14" s="22" customFormat="1" ht="12.5">
      <c r="A7" s="8"/>
      <c r="B7" s="8" t="s">
        <v>11</v>
      </c>
      <c r="D7" s="74">
        <v>1.4999999999999999E-2</v>
      </c>
    </row>
    <row r="8" spans="1:14" s="22" customFormat="1" ht="12.5">
      <c r="A8" s="8"/>
      <c r="B8" s="8" t="s">
        <v>13</v>
      </c>
      <c r="D8" s="23">
        <v>44197</v>
      </c>
    </row>
    <row r="9" spans="1:14" s="22" customFormat="1" ht="13" thickBot="1">
      <c r="A9" s="8"/>
      <c r="B9" s="8" t="s">
        <v>38</v>
      </c>
      <c r="D9" s="24">
        <v>44561</v>
      </c>
    </row>
    <row r="10" spans="1:14" s="22" customFormat="1" ht="13" thickBot="1">
      <c r="A10" s="8"/>
      <c r="B10" s="8" t="s">
        <v>17</v>
      </c>
      <c r="D10" s="76"/>
    </row>
    <row r="11" spans="1:14" s="22" customFormat="1" ht="13" thickBot="1">
      <c r="A11" s="8"/>
      <c r="B11" s="8" t="s">
        <v>15</v>
      </c>
      <c r="D11" s="77"/>
    </row>
    <row r="12" spans="1:14" s="22" customFormat="1" ht="13" thickBot="1">
      <c r="A12" s="8"/>
      <c r="B12" s="8" t="s">
        <v>0</v>
      </c>
      <c r="D12" s="77"/>
    </row>
    <row r="13" spans="1:14" s="22" customFormat="1" ht="13" thickBot="1">
      <c r="A13" s="8"/>
      <c r="B13" s="8" t="s">
        <v>32</v>
      </c>
      <c r="D13" s="78"/>
    </row>
    <row r="14" spans="1:14" s="22" customFormat="1">
      <c r="A14" s="8"/>
      <c r="B14" s="1"/>
      <c r="E14" s="50">
        <f>YEAR(E23)</f>
        <v>2021</v>
      </c>
      <c r="F14" s="50">
        <f t="shared" ref="F14:I14" si="0">YEAR(F23)</f>
        <v>2022</v>
      </c>
      <c r="G14" s="50">
        <f t="shared" si="0"/>
        <v>2023</v>
      </c>
      <c r="H14" s="50">
        <f t="shared" si="0"/>
        <v>2024</v>
      </c>
      <c r="I14" s="50">
        <f t="shared" si="0"/>
        <v>2025</v>
      </c>
    </row>
    <row r="15" spans="1:14" s="22" customFormat="1" ht="12.5">
      <c r="A15" s="8"/>
      <c r="B15" s="14" t="s">
        <v>9</v>
      </c>
      <c r="C15" s="25"/>
      <c r="E15" s="26">
        <v>0.23499999999999999</v>
      </c>
      <c r="F15" s="26">
        <v>0.23499999999999999</v>
      </c>
      <c r="G15" s="26">
        <v>0.23499999999999999</v>
      </c>
      <c r="H15" s="26">
        <v>0.23499999999999999</v>
      </c>
      <c r="I15" s="26">
        <v>0.23499999999999999</v>
      </c>
    </row>
    <row r="16" spans="1:14" s="22" customFormat="1" ht="12.5">
      <c r="A16" s="8"/>
      <c r="B16" s="14" t="s">
        <v>46</v>
      </c>
      <c r="E16" s="27">
        <v>0.504</v>
      </c>
      <c r="F16" s="27">
        <v>0.504</v>
      </c>
      <c r="G16" s="27">
        <v>0.504</v>
      </c>
      <c r="H16" s="27">
        <v>0.504</v>
      </c>
      <c r="I16" s="27">
        <v>0.504</v>
      </c>
    </row>
    <row r="17" spans="1:17" s="22" customFormat="1" ht="12.5">
      <c r="A17" s="8"/>
      <c r="B17" s="14" t="s">
        <v>47</v>
      </c>
      <c r="D17" s="28"/>
      <c r="E17" s="27">
        <v>0.25600000000000001</v>
      </c>
      <c r="F17" s="27">
        <v>0.25600000000000001</v>
      </c>
      <c r="G17" s="27">
        <v>0.25600000000000001</v>
      </c>
      <c r="H17" s="27">
        <v>0.25600000000000001</v>
      </c>
      <c r="I17" s="27">
        <v>0.25600000000000001</v>
      </c>
    </row>
    <row r="18" spans="1:17" s="22" customFormat="1" ht="12.5">
      <c r="A18" s="8"/>
      <c r="B18" s="14" t="s">
        <v>48</v>
      </c>
      <c r="D18" s="28"/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1:17" s="22" customFormat="1" ht="12.5">
      <c r="A19" s="8"/>
      <c r="B19" s="14" t="s">
        <v>49</v>
      </c>
      <c r="D19" s="28"/>
      <c r="E19" s="27">
        <v>5.5E-2</v>
      </c>
      <c r="F19" s="27">
        <v>5.5E-2</v>
      </c>
      <c r="G19" s="27">
        <v>5.5E-2</v>
      </c>
      <c r="H19" s="27">
        <v>5.5E-2</v>
      </c>
      <c r="I19" s="27">
        <v>5.5E-2</v>
      </c>
    </row>
    <row r="20" spans="1:17" s="22" customFormat="1" ht="12.5">
      <c r="A20" s="8"/>
      <c r="B20" s="8" t="s">
        <v>26</v>
      </c>
      <c r="E20" s="45">
        <v>3499</v>
      </c>
      <c r="F20" s="45">
        <v>3835</v>
      </c>
      <c r="G20" s="45">
        <v>3861</v>
      </c>
      <c r="H20" s="45">
        <v>3861</v>
      </c>
      <c r="I20" s="45">
        <f>H20</f>
        <v>3861</v>
      </c>
    </row>
    <row r="21" spans="1:17" s="22" customFormat="1" ht="12.5">
      <c r="A21" s="8"/>
      <c r="B21" s="8"/>
      <c r="D21" s="23"/>
    </row>
    <row r="22" spans="1:17" s="22" customFormat="1" ht="13">
      <c r="A22" s="8"/>
      <c r="B22" s="51" t="s">
        <v>14</v>
      </c>
      <c r="C22" s="52"/>
      <c r="D22" s="50">
        <v>2020</v>
      </c>
      <c r="E22" s="50">
        <f>YEAR(E23)</f>
        <v>2021</v>
      </c>
      <c r="F22" s="50">
        <f>YEAR(F23)</f>
        <v>2022</v>
      </c>
      <c r="G22" s="50">
        <f t="shared" ref="G22:I22" si="1">YEAR(G23)</f>
        <v>2023</v>
      </c>
      <c r="H22" s="50">
        <f t="shared" si="1"/>
        <v>2024</v>
      </c>
      <c r="I22" s="50">
        <f t="shared" si="1"/>
        <v>2025</v>
      </c>
      <c r="K22" s="53" t="s">
        <v>8</v>
      </c>
      <c r="L22" s="52"/>
      <c r="M22" s="52"/>
    </row>
    <row r="23" spans="1:17" s="22" customFormat="1" ht="12.5">
      <c r="A23" s="8"/>
      <c r="B23" s="13" t="s">
        <v>16</v>
      </c>
      <c r="C23" s="29"/>
      <c r="D23" s="30">
        <v>44196</v>
      </c>
      <c r="E23" s="31">
        <f>D9</f>
        <v>44561</v>
      </c>
      <c r="F23" s="31">
        <f>DATE(YEAR($D$9)+F24,12,31)</f>
        <v>44926</v>
      </c>
      <c r="G23" s="31">
        <f>DATE(YEAR($D$9)+G24,12,31)</f>
        <v>45291</v>
      </c>
      <c r="H23" s="31">
        <f>DATE(YEAR($D$9)+H24,12,31)</f>
        <v>45657</v>
      </c>
      <c r="I23" s="31">
        <f>DATE(YEAR($D$9)+I24,12,31)</f>
        <v>46022</v>
      </c>
      <c r="K23" s="29" t="s">
        <v>45</v>
      </c>
      <c r="L23" s="29"/>
      <c r="M23" s="29">
        <f>I36*(1+D7)/(D6-D7)</f>
        <v>261937.66666666666</v>
      </c>
    </row>
    <row r="24" spans="1:17" s="22" customFormat="1" ht="13.5" thickBot="1">
      <c r="A24" s="8"/>
      <c r="B24" s="15" t="s">
        <v>29</v>
      </c>
      <c r="C24" s="32"/>
      <c r="D24" s="30"/>
      <c r="E24" s="46">
        <v>0</v>
      </c>
      <c r="F24" s="46">
        <f>E24+1</f>
        <v>1</v>
      </c>
      <c r="G24" s="46">
        <f t="shared" ref="G24:I24" si="2">F24+1</f>
        <v>2</v>
      </c>
      <c r="H24" s="46">
        <f t="shared" si="2"/>
        <v>3</v>
      </c>
      <c r="I24" s="46">
        <f t="shared" si="2"/>
        <v>4</v>
      </c>
      <c r="M24" s="33"/>
    </row>
    <row r="25" spans="1:17" s="22" customFormat="1" ht="13" thickBot="1">
      <c r="A25" s="8"/>
      <c r="B25" s="16" t="s">
        <v>50</v>
      </c>
      <c r="E25" s="80"/>
      <c r="F25" s="80"/>
      <c r="G25" s="80"/>
      <c r="H25" s="80"/>
      <c r="I25" s="80"/>
    </row>
    <row r="26" spans="1:17" s="22" customFormat="1" ht="13" thickBot="1">
      <c r="A26" s="8"/>
      <c r="B26" s="16" t="s">
        <v>39</v>
      </c>
      <c r="D26" s="79"/>
      <c r="E26" s="35">
        <f>(1+E25)*D26</f>
        <v>0</v>
      </c>
      <c r="F26" s="35">
        <f>(1+F25)*E26</f>
        <v>0</v>
      </c>
      <c r="G26" s="35">
        <f>(1+G25)*F26</f>
        <v>0</v>
      </c>
      <c r="H26" s="35">
        <f t="shared" ref="H26:I26" si="3">(1+H25)*G26</f>
        <v>0</v>
      </c>
      <c r="I26" s="35">
        <f t="shared" si="3"/>
        <v>0</v>
      </c>
      <c r="K26" s="67"/>
      <c r="L26" s="68"/>
      <c r="M26" s="68"/>
      <c r="N26" s="68"/>
      <c r="O26" s="68"/>
      <c r="P26" s="68"/>
      <c r="Q26" s="68"/>
    </row>
    <row r="27" spans="1:17" s="22" customFormat="1" ht="12.5">
      <c r="A27" s="8"/>
      <c r="B27" s="8" t="s">
        <v>40</v>
      </c>
      <c r="E27" s="34">
        <f>E16*E26</f>
        <v>0</v>
      </c>
      <c r="F27" s="34">
        <f>F16*F26</f>
        <v>0</v>
      </c>
      <c r="G27" s="34">
        <f>G16*G26</f>
        <v>0</v>
      </c>
      <c r="H27" s="34">
        <f>H16*H26</f>
        <v>0</v>
      </c>
      <c r="I27" s="34">
        <f>I16*I26</f>
        <v>0</v>
      </c>
      <c r="K27" s="72"/>
      <c r="L27" s="17"/>
      <c r="M27" s="82"/>
      <c r="N27" s="82"/>
      <c r="O27" s="82"/>
      <c r="P27" s="72"/>
      <c r="Q27" s="72"/>
    </row>
    <row r="28" spans="1:17" s="22" customFormat="1" ht="12.5">
      <c r="A28" s="8"/>
      <c r="B28" s="8" t="s">
        <v>41</v>
      </c>
      <c r="E28" s="34">
        <f>E17*E26</f>
        <v>0</v>
      </c>
      <c r="F28" s="34">
        <f>F17*F26</f>
        <v>0</v>
      </c>
      <c r="G28" s="34">
        <f>G17*G26</f>
        <v>0</v>
      </c>
      <c r="H28" s="34">
        <f>H17*H26</f>
        <v>0</v>
      </c>
      <c r="I28" s="34">
        <f>I17*I26</f>
        <v>0</v>
      </c>
      <c r="K28" s="72"/>
      <c r="L28" s="18"/>
      <c r="M28" s="19"/>
      <c r="N28" s="19"/>
      <c r="O28" s="19"/>
      <c r="P28" s="69"/>
      <c r="Q28" s="69"/>
    </row>
    <row r="29" spans="1:17" s="22" customFormat="1" ht="15.65" customHeight="1">
      <c r="A29" s="8"/>
      <c r="B29" s="8" t="s">
        <v>42</v>
      </c>
      <c r="E29" s="34">
        <f>E18*E26</f>
        <v>0</v>
      </c>
      <c r="F29" s="34">
        <f>F18*F26</f>
        <v>0</v>
      </c>
      <c r="G29" s="34">
        <f>G18*G26</f>
        <v>0</v>
      </c>
      <c r="H29" s="34">
        <f>H18*H26</f>
        <v>0</v>
      </c>
      <c r="I29" s="34">
        <f>I18*I26</f>
        <v>0</v>
      </c>
      <c r="K29" s="83"/>
      <c r="L29" s="19"/>
      <c r="M29" s="20"/>
      <c r="N29" s="20"/>
      <c r="O29" s="20"/>
      <c r="P29" s="70"/>
      <c r="Q29" s="70"/>
    </row>
    <row r="30" spans="1:17" s="22" customFormat="1" ht="12.5">
      <c r="A30" s="8"/>
      <c r="B30" s="8" t="s">
        <v>43</v>
      </c>
      <c r="E30" s="34">
        <f>E19*E26</f>
        <v>0</v>
      </c>
      <c r="F30" s="34">
        <f>F19*F26</f>
        <v>0</v>
      </c>
      <c r="G30" s="34">
        <f>G19*G26</f>
        <v>0</v>
      </c>
      <c r="H30" s="34">
        <f>H19*H26</f>
        <v>0</v>
      </c>
      <c r="I30" s="34">
        <f>I19*I26</f>
        <v>0</v>
      </c>
      <c r="K30" s="83"/>
      <c r="L30" s="19"/>
      <c r="M30" s="71"/>
      <c r="N30" s="71"/>
      <c r="O30" s="71"/>
      <c r="P30" s="70"/>
      <c r="Q30" s="70"/>
    </row>
    <row r="31" spans="1:17" s="22" customFormat="1" ht="12.5">
      <c r="A31" s="8"/>
      <c r="B31" s="8" t="s">
        <v>3</v>
      </c>
      <c r="E31" s="47">
        <f>E26-SUM(E27:E30)</f>
        <v>0</v>
      </c>
      <c r="F31" s="47">
        <f>F26-SUM(F27:F30)</f>
        <v>0</v>
      </c>
      <c r="G31" s="47">
        <f t="shared" ref="G31:H31" si="4">G26-SUM(G27:G30)</f>
        <v>0</v>
      </c>
      <c r="H31" s="47">
        <f t="shared" si="4"/>
        <v>0</v>
      </c>
      <c r="I31" s="47">
        <f>I26-SUM(I27:I30)</f>
        <v>0</v>
      </c>
      <c r="K31" s="83"/>
      <c r="L31" s="19"/>
      <c r="M31" s="71"/>
      <c r="N31" s="71"/>
      <c r="O31" s="71"/>
      <c r="P31" s="70"/>
      <c r="Q31" s="70"/>
    </row>
    <row r="32" spans="1:17" s="22" customFormat="1" ht="12.5">
      <c r="A32" s="8"/>
      <c r="B32" s="8" t="s">
        <v>4</v>
      </c>
      <c r="E32" s="33">
        <f>E31*E15</f>
        <v>0</v>
      </c>
      <c r="F32" s="33">
        <f>F31*F15</f>
        <v>0</v>
      </c>
      <c r="G32" s="33">
        <f>G31*G15</f>
        <v>0</v>
      </c>
      <c r="H32" s="33">
        <f>H31*H15</f>
        <v>0</v>
      </c>
      <c r="I32" s="33">
        <f>I31*I15</f>
        <v>0</v>
      </c>
      <c r="K32" s="83"/>
      <c r="L32" s="69"/>
      <c r="M32" s="71"/>
      <c r="N32" s="71"/>
      <c r="O32" s="71"/>
      <c r="P32" s="70"/>
      <c r="Q32" s="70"/>
    </row>
    <row r="33" spans="1:17" s="22" customFormat="1" ht="12.5">
      <c r="A33" s="8"/>
      <c r="B33" s="8" t="s">
        <v>7</v>
      </c>
      <c r="E33" s="48">
        <f>E30</f>
        <v>0</v>
      </c>
      <c r="F33" s="48">
        <f t="shared" ref="F33:I33" si="5">F30</f>
        <v>0</v>
      </c>
      <c r="G33" s="48">
        <f t="shared" si="5"/>
        <v>0</v>
      </c>
      <c r="H33" s="48">
        <f t="shared" si="5"/>
        <v>0</v>
      </c>
      <c r="I33" s="48">
        <f t="shared" si="5"/>
        <v>0</v>
      </c>
      <c r="K33" s="83"/>
      <c r="L33" s="69"/>
      <c r="M33" s="71"/>
      <c r="N33" s="71"/>
      <c r="O33" s="71"/>
      <c r="P33" s="70"/>
      <c r="Q33" s="70"/>
    </row>
    <row r="34" spans="1:17" s="22" customFormat="1" ht="12.5">
      <c r="A34" s="8"/>
      <c r="B34" s="8" t="s">
        <v>5</v>
      </c>
      <c r="E34" s="36">
        <f>E20</f>
        <v>3499</v>
      </c>
      <c r="F34" s="36">
        <f>F20</f>
        <v>3835</v>
      </c>
      <c r="G34" s="36">
        <f>G20</f>
        <v>3861</v>
      </c>
      <c r="H34" s="36">
        <f>H20</f>
        <v>3861</v>
      </c>
      <c r="I34" s="36">
        <f>I20</f>
        <v>3861</v>
      </c>
      <c r="K34" s="72"/>
      <c r="L34" s="72"/>
      <c r="M34" s="72"/>
      <c r="N34" s="72"/>
      <c r="O34" s="72"/>
      <c r="P34" s="72"/>
      <c r="Q34" s="72"/>
    </row>
    <row r="35" spans="1:17" s="22" customFormat="1" ht="12.5">
      <c r="A35" s="8"/>
      <c r="B35" s="8" t="s">
        <v>6</v>
      </c>
      <c r="E35" s="36">
        <v>43</v>
      </c>
      <c r="F35" s="36">
        <v>20</v>
      </c>
      <c r="G35" s="36">
        <v>12</v>
      </c>
      <c r="H35" s="36">
        <v>10</v>
      </c>
      <c r="I35" s="36">
        <v>10</v>
      </c>
    </row>
    <row r="36" spans="1:17" s="22" customFormat="1" ht="12.5">
      <c r="A36" s="8"/>
      <c r="B36" s="8" t="s">
        <v>12</v>
      </c>
      <c r="D36" s="22">
        <v>0</v>
      </c>
      <c r="E36" s="37">
        <f>E31-E32+E33-E34-E35</f>
        <v>-3542</v>
      </c>
      <c r="F36" s="37">
        <f>F31-F32+F33-F34-F35</f>
        <v>-3855</v>
      </c>
      <c r="G36" s="37">
        <f>G31-G32+G33-G34-G35</f>
        <v>-3873</v>
      </c>
      <c r="H36" s="37">
        <f>H31-H32+H33-H34-H35</f>
        <v>-3871</v>
      </c>
      <c r="I36" s="37">
        <f>I31-I32+I33-I34-I35</f>
        <v>-3871</v>
      </c>
      <c r="J36" s="73">
        <f>I36*(1+D7)</f>
        <v>-3929.0649999999996</v>
      </c>
    </row>
    <row r="37" spans="1:17" s="22" customFormat="1" ht="12.5">
      <c r="A37" s="8"/>
      <c r="B37" s="8"/>
      <c r="D37" s="38"/>
      <c r="I37" s="38">
        <f>J36/(D6-D7)</f>
        <v>261937.66666666666</v>
      </c>
    </row>
    <row r="38" spans="1:17" s="22" customFormat="1" ht="12.5">
      <c r="A38" s="8"/>
      <c r="B38" s="8" t="s">
        <v>28</v>
      </c>
      <c r="D38" s="37">
        <f>D37+D36</f>
        <v>0</v>
      </c>
      <c r="E38" s="37">
        <f>(E37+E36)</f>
        <v>-3542</v>
      </c>
      <c r="F38" s="37">
        <f t="shared" ref="F38:H38" si="6">(F37+F36)</f>
        <v>-3855</v>
      </c>
      <c r="G38" s="37">
        <f t="shared" si="6"/>
        <v>-3873</v>
      </c>
      <c r="H38" s="37">
        <f t="shared" si="6"/>
        <v>-3871</v>
      </c>
      <c r="I38" s="37">
        <f>(I37+I36)</f>
        <v>258066.66666666666</v>
      </c>
    </row>
    <row r="39" spans="1:17" s="22" customFormat="1" ht="12.5">
      <c r="A39" s="8"/>
      <c r="B39" s="8"/>
      <c r="D39" s="29"/>
      <c r="E39" s="29"/>
      <c r="F39" s="29"/>
      <c r="G39" s="29"/>
      <c r="H39" s="29"/>
      <c r="I39" s="29"/>
    </row>
    <row r="40" spans="1:17" s="22" customFormat="1" ht="12.5">
      <c r="A40" s="8"/>
      <c r="B40" s="8"/>
      <c r="D40" s="39"/>
    </row>
    <row r="41" spans="1:17" s="22" customFormat="1" ht="13">
      <c r="A41" s="8"/>
      <c r="B41" s="51" t="s">
        <v>23</v>
      </c>
      <c r="C41" s="52"/>
      <c r="D41" s="52"/>
      <c r="F41" s="53" t="s">
        <v>36</v>
      </c>
      <c r="G41" s="52"/>
      <c r="H41" s="52"/>
      <c r="K41" s="53" t="s">
        <v>25</v>
      </c>
      <c r="L41" s="52"/>
      <c r="M41" s="52"/>
    </row>
    <row r="42" spans="1:17" s="22" customFormat="1" ht="12.5">
      <c r="A42" s="8"/>
      <c r="B42" s="13" t="s">
        <v>20</v>
      </c>
      <c r="C42" s="29"/>
      <c r="D42" s="54">
        <f>NPV(D6,F38:I38)+E38</f>
        <v>242925.66666666666</v>
      </c>
      <c r="F42" s="29" t="s">
        <v>18</v>
      </c>
      <c r="G42" s="29"/>
      <c r="H42" s="25">
        <f>D11*D10</f>
        <v>0</v>
      </c>
      <c r="K42" s="29" t="s">
        <v>44</v>
      </c>
      <c r="L42" s="29"/>
      <c r="M42" s="40" t="e">
        <f>(D47-H47)/H47</f>
        <v>#DIV/0!</v>
      </c>
    </row>
    <row r="43" spans="1:17" s="22" customFormat="1" ht="12.5">
      <c r="A43" s="8"/>
      <c r="B43" s="8" t="s">
        <v>35</v>
      </c>
      <c r="D43" s="55">
        <f>+D13</f>
        <v>0</v>
      </c>
      <c r="F43" s="22" t="s">
        <v>19</v>
      </c>
      <c r="H43" s="28">
        <f>D12</f>
        <v>0</v>
      </c>
      <c r="M43" s="41"/>
    </row>
    <row r="44" spans="1:17" s="22" customFormat="1" ht="12.5">
      <c r="A44" s="8"/>
      <c r="B44" s="8" t="s">
        <v>21</v>
      </c>
      <c r="D44" s="28">
        <f>+D12</f>
        <v>0</v>
      </c>
      <c r="F44" s="22" t="s">
        <v>37</v>
      </c>
      <c r="H44" s="28">
        <f>+D13</f>
        <v>0</v>
      </c>
    </row>
    <row r="45" spans="1:17" s="22" customFormat="1" ht="12.5">
      <c r="A45" s="8"/>
      <c r="B45" s="8" t="s">
        <v>22</v>
      </c>
      <c r="D45" s="37">
        <f>D42+D43-D44</f>
        <v>242925.66666666666</v>
      </c>
      <c r="F45" s="22" t="s">
        <v>20</v>
      </c>
      <c r="H45" s="37">
        <f>H42+H43-H44</f>
        <v>0</v>
      </c>
      <c r="K45" s="53" t="s">
        <v>30</v>
      </c>
      <c r="L45" s="52"/>
      <c r="M45" s="52"/>
    </row>
    <row r="46" spans="1:17" s="22" customFormat="1" ht="12.5">
      <c r="A46" s="8"/>
      <c r="B46" s="8"/>
      <c r="H46" s="42"/>
      <c r="K46" s="22" t="s">
        <v>24</v>
      </c>
      <c r="M46" s="42" t="e">
        <f>H47</f>
        <v>#DIV/0!</v>
      </c>
    </row>
    <row r="47" spans="1:17" s="22" customFormat="1" ht="12.5">
      <c r="A47" s="8"/>
      <c r="B47" s="8" t="s">
        <v>34</v>
      </c>
      <c r="D47" s="43" t="e">
        <f>(D45*1000000)/D11</f>
        <v>#DIV/0!</v>
      </c>
      <c r="F47" s="22" t="s">
        <v>33</v>
      </c>
      <c r="H47" s="42" t="e">
        <f>H45/D11</f>
        <v>#DIV/0!</v>
      </c>
      <c r="K47" s="22" t="s">
        <v>31</v>
      </c>
      <c r="M47" s="42" t="e">
        <f>D47-H47</f>
        <v>#DIV/0!</v>
      </c>
    </row>
    <row r="48" spans="1:17" s="22" customFormat="1" ht="12.5">
      <c r="A48" s="8"/>
      <c r="B48" s="8"/>
      <c r="K48" s="22" t="s">
        <v>23</v>
      </c>
      <c r="M48" s="42" t="e">
        <f>SUM(M46:M47)</f>
        <v>#DIV/0!</v>
      </c>
    </row>
    <row r="49" spans="1:14" s="22" customFormat="1">
      <c r="A49" s="8"/>
      <c r="B49" s="1"/>
      <c r="D49" s="39"/>
      <c r="G49" s="49"/>
      <c r="H49" s="44"/>
    </row>
    <row r="50" spans="1:14" s="22" customFormat="1">
      <c r="A50" s="8"/>
      <c r="B50" s="1"/>
      <c r="D50" s="39"/>
      <c r="G50" s="44"/>
    </row>
    <row r="51" spans="1:14" s="22" customFormat="1" ht="12.5">
      <c r="A51" s="8"/>
      <c r="B51" s="8"/>
      <c r="D51" s="39"/>
    </row>
    <row r="52" spans="1:14" s="22" customFormat="1" ht="12.5">
      <c r="A52" s="8"/>
      <c r="B52" s="56"/>
      <c r="C52" s="57"/>
      <c r="D52" s="57"/>
      <c r="E52" s="57"/>
      <c r="F52" s="57"/>
      <c r="G52" s="57"/>
      <c r="H52" s="38"/>
      <c r="I52" s="58"/>
      <c r="J52" s="59"/>
      <c r="K52" s="59"/>
      <c r="L52" s="59"/>
      <c r="M52" s="59"/>
      <c r="N52" s="38"/>
    </row>
    <row r="53" spans="1:14" s="22" customFormat="1" ht="12.5">
      <c r="A53" s="8"/>
      <c r="B53" s="60"/>
      <c r="C53" s="61"/>
      <c r="D53" s="62"/>
      <c r="E53" s="61"/>
      <c r="F53" s="61"/>
      <c r="G53" s="61"/>
      <c r="H53" s="38"/>
      <c r="I53" s="59"/>
      <c r="J53" s="59"/>
      <c r="K53" s="59"/>
      <c r="L53" s="59"/>
      <c r="M53" s="59"/>
      <c r="N53" s="38"/>
    </row>
    <row r="54" spans="1:14">
      <c r="A54" s="8"/>
      <c r="B54" s="60"/>
      <c r="C54" s="38"/>
      <c r="D54" s="38"/>
      <c r="E54" s="38"/>
      <c r="F54" s="38"/>
      <c r="G54" s="38"/>
      <c r="H54" s="63"/>
      <c r="I54" s="64"/>
      <c r="J54" s="65"/>
      <c r="K54" s="65"/>
      <c r="L54" s="65"/>
      <c r="M54" s="64"/>
      <c r="N54" s="63"/>
    </row>
    <row r="55" spans="1:14">
      <c r="A55" s="8"/>
      <c r="B55" s="60"/>
      <c r="C55" s="38"/>
      <c r="D55" s="38"/>
      <c r="E55" s="38"/>
      <c r="F55" s="38"/>
      <c r="G55" s="38"/>
      <c r="H55" s="63"/>
      <c r="I55" s="64"/>
      <c r="J55" s="21"/>
      <c r="K55" s="21"/>
      <c r="L55" s="21"/>
      <c r="M55" s="21"/>
      <c r="N55" s="63"/>
    </row>
    <row r="56" spans="1:14">
      <c r="A56" s="8"/>
      <c r="B56" s="60"/>
      <c r="C56" s="38"/>
      <c r="D56" s="38"/>
      <c r="E56" s="38"/>
      <c r="F56" s="38"/>
      <c r="G56" s="38"/>
      <c r="H56" s="63"/>
      <c r="I56" s="64"/>
      <c r="J56" s="21"/>
      <c r="K56" s="21"/>
      <c r="L56" s="21"/>
      <c r="M56" s="21"/>
      <c r="N56" s="63"/>
    </row>
    <row r="57" spans="1:14">
      <c r="A57" s="8"/>
      <c r="B57" s="60"/>
      <c r="C57" s="38"/>
      <c r="D57" s="38"/>
      <c r="E57" s="38"/>
      <c r="F57" s="38"/>
      <c r="G57" s="38"/>
      <c r="H57" s="63"/>
      <c r="I57" s="64"/>
      <c r="J57" s="21"/>
      <c r="K57" s="21"/>
      <c r="L57" s="21"/>
      <c r="M57" s="21"/>
      <c r="N57" s="63"/>
    </row>
    <row r="58" spans="1:14">
      <c r="A58" s="8"/>
      <c r="B58" s="60"/>
      <c r="C58" s="38"/>
      <c r="D58" s="66"/>
      <c r="E58" s="66"/>
      <c r="F58" s="66"/>
      <c r="G58" s="66"/>
      <c r="H58" s="63"/>
      <c r="I58" s="63"/>
      <c r="J58" s="63"/>
      <c r="K58" s="63"/>
      <c r="L58" s="63"/>
      <c r="M58" s="63"/>
      <c r="N58" s="63"/>
    </row>
    <row r="59" spans="1:14">
      <c r="A59" s="8"/>
      <c r="B59" s="8"/>
      <c r="C59" s="8"/>
      <c r="D59" s="10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>
      <c r="A60" s="8"/>
      <c r="B60" s="8"/>
      <c r="C60" s="8"/>
      <c r="D60" s="10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>
      <c r="A61" s="8"/>
      <c r="B61" s="8"/>
      <c r="C61" s="8"/>
      <c r="D61" s="10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>
      <c r="B62" s="8"/>
      <c r="C62" s="8"/>
      <c r="D62" s="10"/>
      <c r="E62" s="8"/>
      <c r="F62" s="8"/>
      <c r="G62" s="8"/>
      <c r="H62" s="8"/>
      <c r="I62" s="8"/>
      <c r="J62" s="8"/>
      <c r="K62" s="8"/>
      <c r="N62" s="8"/>
    </row>
  </sheetData>
  <mergeCells count="3">
    <mergeCell ref="B5:I5"/>
    <mergeCell ref="M27:O27"/>
    <mergeCell ref="K29:K33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DCF Model</vt:lpstr>
      <vt:lpstr>NPV_shr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Vipond</dc:creator>
  <cp:lastModifiedBy>Windows User</cp:lastModifiedBy>
  <cp:lastPrinted>2014-12-13T23:43:21Z</cp:lastPrinted>
  <dcterms:created xsi:type="dcterms:W3CDTF">2014-11-08T22:00:02Z</dcterms:created>
  <dcterms:modified xsi:type="dcterms:W3CDTF">2021-03-18T18:30:55Z</dcterms:modified>
</cp:coreProperties>
</file>